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202300"/>
  <mc:AlternateContent xmlns:mc="http://schemas.openxmlformats.org/markup-compatibility/2006">
    <mc:Choice Requires="x15">
      <x15ac:absPath xmlns:x15ac="http://schemas.microsoft.com/office/spreadsheetml/2010/11/ac" url="C:\Users\fabri\Dropbox\FlexUp\Legal\FlexAdjust contract\"/>
    </mc:Choice>
  </mc:AlternateContent>
  <xr:revisionPtr revIDLastSave="0" documentId="13_ncr:1_{479F462E-A0A6-4A45-933E-0AB7648DF839}" xr6:coauthVersionLast="47" xr6:coauthVersionMax="47" xr10:uidLastSave="{00000000-0000-0000-0000-000000000000}"/>
  <bookViews>
    <workbookView xWindow="-120" yWindow="-120" windowWidth="29040" windowHeight="15720" xr2:uid="{E846A167-38AB-4965-A272-EEB18A3FF77B}"/>
  </bookViews>
  <sheets>
    <sheet name="Historical" sheetId="1" r:id="rId1"/>
  </sheets>
  <externalReferences>
    <externalReference r:id="rId2"/>
    <externalReference r:id="rId3"/>
    <externalReference r:id="rId4"/>
  </externalReferences>
  <definedNames>
    <definedName name="base" localSheetId="0">[1]Lists!$J$32</definedName>
    <definedName name="base">[2]Lists!$J$32</definedName>
    <definedName name="currency" localSheetId="0">Historical!$D$18</definedName>
    <definedName name="currency">#REF!</definedName>
    <definedName name="facteur" localSheetId="0">[1]Lists!$I$32</definedName>
    <definedName name="facteur">[2]Lists!$I$32</definedName>
    <definedName name="hpm" localSheetId="0">[1]Lists!$F$35</definedName>
    <definedName name="hpm">[2]Lists!$F$35</definedName>
    <definedName name="lang" localSheetId="0">[1]Lists!$G$5</definedName>
    <definedName name="lang">[3]Lists!$I$15</definedName>
    <definedName name="langs" localSheetId="0">[1]Lists!$F$5:$F$6</definedName>
    <definedName name="langs">[3]Lists!$I$17:$I$18</definedName>
    <definedName name="livraison">[3]Lists!$B$27:$B$30</definedName>
    <definedName name="mode_nr" localSheetId="0">[1]Lists!$D$4</definedName>
    <definedName name="mode_nr">[2]Lists!$D$4</definedName>
    <definedName name="modes" localSheetId="0">[1]Lists!$D$10:$D$13</definedName>
    <definedName name="modes">[2]Lists!$D$10:$D$13</definedName>
    <definedName name="period">Historical!#REF!</definedName>
    <definedName name="périodes" localSheetId="0">[1]Lists!$D$32:$F$36</definedName>
    <definedName name="périodes">[2]Lists!$D$32:$F$36</definedName>
    <definedName name="périodes_l" localSheetId="0">[1]Lists!$D$32:$D$36</definedName>
    <definedName name="périodes_l">[2]Lists!$D$32:$D$36</definedName>
    <definedName name="periods">Historical!#REF!</definedName>
    <definedName name="Type">[3]Lists!$J$4</definedName>
    <definedName name="type_doc">[3]Lists!$I$4</definedName>
    <definedName name="type_nr">[3]Lists!$I$2</definedName>
    <definedName name="types">[3]Lists!$I$6:$J$9</definedName>
    <definedName name="unit" localSheetId="0">Historical!$D$19</definedName>
    <definedName name="unit">#REF!</definedName>
    <definedName name="unité" localSheetId="0">[1]Lists!$D$21</definedName>
    <definedName name="unité">[2]Lists!$D$21</definedName>
    <definedName name="unités" localSheetId="0">[1]Lists!$D$24:$D$27</definedName>
    <definedName name="unités">[2]Lists!$D$24:$D$27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1" i="1" l="1"/>
  <c r="B42" i="1" s="1"/>
  <c r="C42" i="1"/>
  <c r="E42" i="1" s="1"/>
  <c r="F42" i="1" s="1"/>
  <c r="C43" i="1"/>
  <c r="B44" i="1" s="1"/>
  <c r="C21" i="1"/>
  <c r="G33" i="1" s="1"/>
  <c r="C22" i="1"/>
  <c r="E22" i="1"/>
  <c r="C25" i="1"/>
  <c r="C29" i="1" s="1"/>
  <c r="C26" i="1"/>
  <c r="C28" i="1"/>
  <c r="D29" i="1"/>
  <c r="D33" i="1"/>
  <c r="E33" i="1"/>
  <c r="J33" i="1"/>
  <c r="B35" i="1"/>
  <c r="C35" i="1"/>
  <c r="B36" i="1" s="1"/>
  <c r="C36" i="1" s="1"/>
  <c r="C44" i="1"/>
  <c r="C45" i="1"/>
  <c r="C46" i="1"/>
  <c r="E46" i="1" s="1"/>
  <c r="F46" i="1" s="1"/>
  <c r="D48" i="1"/>
  <c r="D53" i="1" s="1"/>
  <c r="E53" i="1" s="1"/>
  <c r="F53" i="1" s="1"/>
  <c r="I33" i="1" l="1"/>
  <c r="G46" i="1"/>
  <c r="J46" i="1" s="1"/>
  <c r="G42" i="1"/>
  <c r="J42" i="1" s="1"/>
  <c r="H33" i="1"/>
  <c r="E45" i="1"/>
  <c r="F45" i="1" s="1"/>
  <c r="G45" i="1" s="1"/>
  <c r="H45" i="1" s="1"/>
  <c r="E43" i="1"/>
  <c r="F43" i="1" s="1"/>
  <c r="G43" i="1" s="1"/>
  <c r="H43" i="1" s="1"/>
  <c r="E44" i="1"/>
  <c r="F44" i="1" s="1"/>
  <c r="G44" i="1" s="1"/>
  <c r="H44" i="1" s="1"/>
  <c r="B43" i="1"/>
  <c r="D50" i="1"/>
  <c r="D51" i="1" s="1"/>
  <c r="F33" i="1"/>
  <c r="B37" i="1"/>
  <c r="C37" i="1" s="1"/>
  <c r="B45" i="1"/>
  <c r="B46" i="1"/>
  <c r="E35" i="1"/>
  <c r="F35" i="1" s="1"/>
  <c r="E50" i="1" l="1"/>
  <c r="F50" i="1" s="1"/>
  <c r="I50" i="1" s="1"/>
  <c r="I51" i="1" s="1"/>
  <c r="G51" i="1" s="1"/>
  <c r="J51" i="1" s="1"/>
  <c r="I46" i="1"/>
  <c r="H46" i="1"/>
  <c r="H42" i="1"/>
  <c r="I42" i="1"/>
  <c r="J43" i="1"/>
  <c r="I43" i="1"/>
  <c r="J44" i="1"/>
  <c r="I44" i="1"/>
  <c r="J45" i="1"/>
  <c r="I45" i="1"/>
  <c r="B38" i="1"/>
  <c r="C38" i="1" s="1"/>
  <c r="E36" i="1"/>
  <c r="F36" i="1" s="1"/>
  <c r="G36" i="1" s="1"/>
  <c r="G35" i="1"/>
  <c r="B39" i="1" l="1"/>
  <c r="C39" i="1" s="1"/>
  <c r="E38" i="1"/>
  <c r="F38" i="1" s="1"/>
  <c r="G38" i="1" s="1"/>
  <c r="H36" i="1"/>
  <c r="I36" i="1"/>
  <c r="J36" i="1"/>
  <c r="E37" i="1"/>
  <c r="F37" i="1" s="1"/>
  <c r="G37" i="1" s="1"/>
  <c r="J35" i="1"/>
  <c r="I35" i="1"/>
  <c r="H35" i="1"/>
  <c r="I38" i="1" l="1"/>
  <c r="J38" i="1"/>
  <c r="H38" i="1"/>
  <c r="H37" i="1"/>
  <c r="I37" i="1"/>
  <c r="J37" i="1"/>
  <c r="B40" i="1"/>
  <c r="C40" i="1" s="1"/>
  <c r="E39" i="1"/>
  <c r="F39" i="1" s="1"/>
  <c r="G39" i="1" s="1"/>
  <c r="E40" i="1" l="1"/>
  <c r="B41" i="1"/>
  <c r="I39" i="1"/>
  <c r="J39" i="1"/>
  <c r="H39" i="1"/>
  <c r="F40" i="1" l="1"/>
  <c r="E41" i="1"/>
  <c r="F41" i="1" s="1"/>
  <c r="G41" i="1" s="1"/>
  <c r="H41" i="1" l="1"/>
  <c r="I41" i="1"/>
  <c r="J41" i="1"/>
  <c r="G40" i="1"/>
  <c r="F48" i="1"/>
  <c r="H40" i="1" l="1"/>
  <c r="I40" i="1"/>
  <c r="J40" i="1"/>
  <c r="J48" i="1" s="1"/>
  <c r="J53" i="1" l="1"/>
  <c r="G53" i="1" s="1"/>
  <c r="G48" i="1"/>
  <c r="G50" i="1" l="1"/>
  <c r="H48" i="1"/>
  <c r="I48" i="1"/>
  <c r="H53" i="1"/>
  <c r="I53" i="1"/>
</calcChain>
</file>

<file path=xl/sharedStrings.xml><?xml version="1.0" encoding="utf-8"?>
<sst xmlns="http://schemas.openxmlformats.org/spreadsheetml/2006/main" count="34" uniqueCount="34">
  <si>
    <t>Total price after correction</t>
  </si>
  <si>
    <t>Price correction (2 × difference)</t>
  </si>
  <si>
    <t>Theoretical price @ actual quantity</t>
  </si>
  <si>
    <t>Total over last 12 months</t>
  </si>
  <si>
    <t>Delivery finish</t>
  </si>
  <si>
    <t>Delivery start</t>
  </si>
  <si>
    <t>Month</t>
  </si>
  <si>
    <t>Orders</t>
  </si>
  <si>
    <t>%</t>
  </si>
  <si>
    <t>unit</t>
  </si>
  <si>
    <t>hr</t>
  </si>
  <si>
    <t>Unit</t>
  </si>
  <si>
    <t>currency</t>
  </si>
  <si>
    <t>€</t>
  </si>
  <si>
    <t>Currency</t>
  </si>
  <si>
    <t>Parameters</t>
  </si>
  <si>
    <t>Client</t>
  </si>
  <si>
    <t>Supplier</t>
  </si>
  <si>
    <t>Contract</t>
  </si>
  <si>
    <t>Warning: only change values in green cells</t>
  </si>
  <si>
    <t>FlexAdjust pricing model</t>
  </si>
  <si>
    <t>XYZ</t>
  </si>
  <si>
    <t>ABC</t>
  </si>
  <si>
    <t>Contract signature date</t>
  </si>
  <si>
    <t>Contract effective date</t>
  </si>
  <si>
    <t>This document is provided under the terms of the FlexUp License, available at www.flexup.org. The FlexUp Licence governs the use, sharing, and adaptation of this mechanism. By incorporating or applying the FlexAdjust Pricing Mechanism, the Parties agree to the terms of the FlexUp Licence.</t>
  </si>
  <si>
    <t>Default value is 0.7</t>
  </si>
  <si>
    <r>
      <rPr>
        <b/>
        <sz val="11"/>
        <color theme="1"/>
        <rFont val="Open Sans"/>
        <family val="2"/>
      </rPr>
      <t>F</t>
    </r>
    <r>
      <rPr>
        <sz val="11"/>
        <color theme="1"/>
        <rFont val="Open Sans"/>
        <family val="2"/>
      </rPr>
      <t xml:space="preserve"> - Scale factor</t>
    </r>
  </si>
  <si>
    <r>
      <rPr>
        <b/>
        <sz val="11"/>
        <color theme="1"/>
        <rFont val="Open Sans"/>
        <family val="2"/>
      </rPr>
      <t>U</t>
    </r>
    <r>
      <rPr>
        <b/>
        <vertAlign val="subscript"/>
        <sz val="11"/>
        <color theme="1"/>
        <rFont val="Open Sans"/>
        <family val="2"/>
      </rPr>
      <t>min</t>
    </r>
    <r>
      <rPr>
        <sz val="11"/>
        <color theme="1"/>
        <rFont val="Open Sans"/>
        <family val="2"/>
      </rPr>
      <t xml:space="preserve"> - Minimum unit price</t>
    </r>
  </si>
  <si>
    <r>
      <rPr>
        <b/>
        <sz val="11"/>
        <color theme="1"/>
        <rFont val="Open Sans"/>
        <family val="2"/>
      </rPr>
      <t>U</t>
    </r>
    <r>
      <rPr>
        <b/>
        <vertAlign val="subscript"/>
        <sz val="11"/>
        <color theme="1"/>
        <rFont val="Open Sans"/>
        <family val="2"/>
      </rPr>
      <t>o</t>
    </r>
    <r>
      <rPr>
        <sz val="11"/>
        <color theme="1"/>
        <rFont val="Open Sans"/>
        <family val="2"/>
      </rPr>
      <t xml:space="preserve"> - Reference unit price</t>
    </r>
  </si>
  <si>
    <r>
      <rPr>
        <b/>
        <sz val="11"/>
        <color theme="1"/>
        <rFont val="Open Sans"/>
        <family val="2"/>
      </rPr>
      <t>Q</t>
    </r>
    <r>
      <rPr>
        <b/>
        <vertAlign val="subscript"/>
        <sz val="11"/>
        <color theme="1"/>
        <rFont val="Open Sans"/>
        <family val="2"/>
      </rPr>
      <t>o</t>
    </r>
    <r>
      <rPr>
        <sz val="11"/>
        <color theme="1"/>
        <rFont val="Open Sans"/>
        <family val="2"/>
      </rPr>
      <t xml:space="preserve"> - Reference quantity</t>
    </r>
  </si>
  <si>
    <r>
      <rPr>
        <b/>
        <sz val="11"/>
        <color theme="1"/>
        <rFont val="Open Sans"/>
        <family val="2"/>
      </rPr>
      <t>U</t>
    </r>
    <r>
      <rPr>
        <b/>
        <vertAlign val="subscript"/>
        <sz val="11"/>
        <color theme="1"/>
        <rFont val="Open Sans"/>
        <family val="2"/>
      </rPr>
      <t>max</t>
    </r>
    <r>
      <rPr>
        <b/>
        <sz val="11"/>
        <color theme="1"/>
        <rFont val="Open Sans"/>
        <family val="2"/>
      </rPr>
      <t xml:space="preserve"> </t>
    </r>
    <r>
      <rPr>
        <sz val="11"/>
        <color theme="1"/>
        <rFont val="Open Sans"/>
        <family val="2"/>
      </rPr>
      <t>- Maxium unit price</t>
    </r>
  </si>
  <si>
    <r>
      <rPr>
        <b/>
        <sz val="11"/>
        <color theme="1"/>
        <rFont val="Open Sans"/>
        <family val="2"/>
      </rPr>
      <t>U</t>
    </r>
    <r>
      <rPr>
        <b/>
        <vertAlign val="subscript"/>
        <sz val="11"/>
        <color theme="1"/>
        <rFont val="Open Sans"/>
        <family val="2"/>
      </rPr>
      <t>t</t>
    </r>
    <r>
      <rPr>
        <b/>
        <sz val="11"/>
        <color theme="1"/>
        <rFont val="Open Sans"/>
        <family val="2"/>
      </rPr>
      <t xml:space="preserve"> </t>
    </r>
    <r>
      <rPr>
        <sz val="11"/>
        <color theme="1"/>
        <rFont val="Open Sans"/>
        <family val="2"/>
      </rPr>
      <t>- Target price</t>
    </r>
  </si>
  <si>
    <r>
      <rPr>
        <b/>
        <sz val="11"/>
        <color theme="1"/>
        <rFont val="Open Sans"/>
        <family val="2"/>
      </rPr>
      <t>Q</t>
    </r>
    <r>
      <rPr>
        <b/>
        <vertAlign val="subscript"/>
        <sz val="11"/>
        <color theme="1"/>
        <rFont val="Open Sans"/>
        <family val="2"/>
      </rPr>
      <t>t</t>
    </r>
    <r>
      <rPr>
        <sz val="11"/>
        <color theme="1"/>
        <rFont val="Open Sans"/>
        <family val="2"/>
      </rPr>
      <t xml:space="preserve"> - Target quantity</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</si>
</sst>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0.00&quot; &quot;;\-#,##0.00&quot; &quot;;&quot; - &quot;;@"/>
    <numFmt numFmtId="165" formatCode="\+#,##0.00&quot; &quot;;\-#,##0.00&quot; &quot;;&quot; - &quot;;@"/>
    <numFmt numFmtId="166" formatCode="#,##0.0&quot; &quot;;\-#,##0.0&quot; &quot;;&quot; - &quot;;@"/>
    <numFmt numFmtId="167" formatCode="d\-mmm\-yyyy;&quot;-&quot;;&quot;-&quot;;@"/>
    <numFmt numFmtId="168" formatCode="#,##0&quot; &quot;;\-#,##0&quot; &quot;;&quot; - &quot;;@"/>
    <numFmt numFmtId="169" formatCode="&quot;&quot;0%&quot; &quot;;&quot;&quot;\ \-0%&quot; &quot;;&quot; - &quot;;@"/>
    <numFmt numFmtId="170" formatCode="d\-mmm\-yyyy;@"/>
  </numFmts>
  <fonts count="13" x14ac:knownFonts="1">
    <font>
      <sz val="10"/>
      <color theme="1"/>
      <name val="Open Sans"/>
      <family val="2"/>
    </font>
    <font>
      <sz val="11"/>
      <color theme="1"/>
      <name val="Aptos Narrow"/>
      <family val="2"/>
      <scheme val="minor"/>
    </font>
    <font>
      <sz val="11"/>
      <color theme="1"/>
      <name val="Open Sans"/>
      <family val="2"/>
    </font>
    <font>
      <sz val="11"/>
      <name val="Open Sans"/>
      <family val="2"/>
    </font>
    <font>
      <sz val="11"/>
      <color rgb="FF0000FF"/>
      <name val="Open Sans"/>
      <family val="2"/>
    </font>
    <font>
      <sz val="11"/>
      <color rgb="FF00B050"/>
      <name val="Open Sans"/>
      <family val="2"/>
    </font>
    <font>
      <u/>
      <sz val="11"/>
      <color theme="1"/>
      <name val="Open Sans"/>
      <family val="2"/>
    </font>
    <font>
      <b/>
      <u/>
      <sz val="11"/>
      <color theme="1"/>
      <name val="Open Sans"/>
      <family val="2"/>
    </font>
    <font>
      <i/>
      <sz val="11"/>
      <color theme="1"/>
      <name val="Open Sans"/>
      <family val="2"/>
    </font>
    <font>
      <b/>
      <u/>
      <sz val="14"/>
      <name val="Open Sans"/>
      <family val="2"/>
    </font>
    <font>
      <sz val="10"/>
      <color rgb="FF0000FF"/>
      <name val="Open Sans"/>
      <family val="2"/>
    </font>
    <font>
      <b/>
      <sz val="11"/>
      <color theme="1"/>
      <name val="Open Sans"/>
      <family val="2"/>
    </font>
    <font>
      <b/>
      <vertAlign val="subscript"/>
      <sz val="11"/>
      <color theme="1"/>
      <name val="Open Sans"/>
      <family val="2"/>
    </font>
  </fonts>
  <fills count="5">
    <fill>
      <patternFill patternType="none"/>
    </fill>
    <fill>
      <patternFill patternType="gray125"/>
    </fill>
    <fill>
      <patternFill patternType="solid">
        <fgColor rgb="FFFFFF99"/>
        <bgColor indexed="64"/>
      </patternFill>
    </fill>
    <fill>
      <patternFill patternType="solid">
        <fgColor rgb="FFCCFFCC"/>
        <bgColor indexed="64"/>
      </patternFill>
    </fill>
    <fill>
      <patternFill patternType="solid">
        <fgColor theme="0" tint="-4.9989318521683403E-2"/>
        <bgColor indexed="64"/>
      </patternFill>
    </fill>
  </fills>
  <borders count="2">
    <border>
      <left/>
      <right/>
      <top/>
      <bottom/>
      <diagonal/>
    </border>
    <border>
      <left/>
      <right/>
      <top style="thin">
        <color indexed="64"/>
      </top>
      <bottom/>
      <diagonal/>
    </border>
  </borders>
  <cellStyleXfs count="2">
    <xf numFmtId="0" fontId="0" fillId="0" borderId="0"/>
    <xf numFmtId="0" fontId="1" fillId="0" borderId="0"/>
  </cellStyleXfs>
  <cellXfs count="34">
    <xf numFmtId="0" fontId="0" fillId="0" borderId="0" xfId="0"/>
    <xf numFmtId="0" fontId="2" fillId="0" borderId="0" xfId="1" applyFont="1"/>
    <xf numFmtId="164" fontId="2" fillId="0" borderId="1" xfId="1" applyNumberFormat="1" applyFont="1" applyBorder="1"/>
    <xf numFmtId="165" fontId="2" fillId="0" borderId="1" xfId="1" applyNumberFormat="1" applyFont="1" applyBorder="1"/>
    <xf numFmtId="166" fontId="2" fillId="0" borderId="1" xfId="1" applyNumberFormat="1" applyFont="1" applyBorder="1"/>
    <xf numFmtId="167" fontId="2" fillId="0" borderId="1" xfId="1" applyNumberFormat="1" applyFont="1" applyBorder="1"/>
    <xf numFmtId="0" fontId="2" fillId="0" borderId="1" xfId="1" applyFont="1" applyBorder="1"/>
    <xf numFmtId="164" fontId="2" fillId="0" borderId="0" xfId="1" applyNumberFormat="1" applyFont="1"/>
    <xf numFmtId="165" fontId="2" fillId="0" borderId="0" xfId="1" applyNumberFormat="1" applyFont="1"/>
    <xf numFmtId="166" fontId="2" fillId="0" borderId="0" xfId="1" applyNumberFormat="1" applyFont="1"/>
    <xf numFmtId="168" fontId="2" fillId="0" borderId="0" xfId="1" applyNumberFormat="1" applyFont="1"/>
    <xf numFmtId="166" fontId="2" fillId="3" borderId="0" xfId="1" applyNumberFormat="1" applyFont="1" applyFill="1"/>
    <xf numFmtId="167" fontId="2" fillId="0" borderId="0" xfId="1" applyNumberFormat="1" applyFont="1" applyAlignment="1">
      <alignment horizontal="center"/>
    </xf>
    <xf numFmtId="0" fontId="2" fillId="0" borderId="0" xfId="1" applyFont="1" applyAlignment="1">
      <alignment horizontal="center"/>
    </xf>
    <xf numFmtId="169" fontId="2" fillId="0" borderId="0" xfId="1" applyNumberFormat="1" applyFont="1"/>
    <xf numFmtId="166" fontId="3" fillId="3" borderId="0" xfId="1" applyNumberFormat="1" applyFont="1" applyFill="1"/>
    <xf numFmtId="0" fontId="2" fillId="3" borderId="0" xfId="1" applyFont="1" applyFill="1"/>
    <xf numFmtId="167" fontId="4" fillId="0" borderId="0" xfId="1" applyNumberFormat="1" applyFont="1" applyAlignment="1">
      <alignment horizontal="center"/>
    </xf>
    <xf numFmtId="0" fontId="2" fillId="4" borderId="0" xfId="1" applyFont="1" applyFill="1" applyAlignment="1">
      <alignment horizontal="center" vertical="center" wrapText="1"/>
    </xf>
    <xf numFmtId="168" fontId="2" fillId="4" borderId="0" xfId="1" applyNumberFormat="1" applyFont="1" applyFill="1" applyAlignment="1">
      <alignment horizontal="center" vertical="center" wrapText="1"/>
    </xf>
    <xf numFmtId="0" fontId="6" fillId="0" borderId="0" xfId="1" applyFont="1"/>
    <xf numFmtId="0" fontId="7" fillId="0" borderId="0" xfId="1" applyFont="1"/>
    <xf numFmtId="168" fontId="2" fillId="2" borderId="0" xfId="1" applyNumberFormat="1" applyFont="1" applyFill="1"/>
    <xf numFmtId="0" fontId="2" fillId="0" borderId="0" xfId="1" applyFont="1" applyAlignment="1">
      <alignment horizontal="left" indent="1"/>
    </xf>
    <xf numFmtId="168" fontId="2" fillId="3" borderId="0" xfId="1" applyNumberFormat="1" applyFont="1" applyFill="1"/>
    <xf numFmtId="0" fontId="8" fillId="0" borderId="0" xfId="1" applyFont="1"/>
    <xf numFmtId="0" fontId="5" fillId="0" borderId="0" xfId="1" applyFont="1"/>
    <xf numFmtId="0" fontId="4" fillId="0" borderId="0" xfId="1" applyFont="1" applyAlignment="1">
      <alignment horizontal="left"/>
    </xf>
    <xf numFmtId="0" fontId="9" fillId="0" borderId="0" xfId="1" applyFont="1"/>
    <xf numFmtId="0" fontId="4" fillId="0" borderId="0" xfId="1" applyFont="1" applyAlignment="1">
      <alignment horizontal="left" vertical="center" wrapText="1"/>
    </xf>
    <xf numFmtId="0" fontId="10" fillId="0" borderId="0" xfId="0" applyFont="1" applyAlignment="1">
      <alignment horizontal="left" vertical="center" wrapText="1"/>
    </xf>
    <xf numFmtId="164" fontId="2" fillId="3" borderId="0" xfId="1" applyNumberFormat="1" applyFont="1" applyFill="1"/>
    <xf numFmtId="170" fontId="3" fillId="3" borderId="0" xfId="1" applyNumberFormat="1" applyFont="1" applyFill="1" applyAlignment="1">
      <alignment horizontal="centerContinuous" vertical="center" wrapText="1"/>
    </xf>
    <xf numFmtId="170" fontId="2" fillId="3" borderId="0" xfId="1" applyNumberFormat="1" applyFont="1" applyFill="1" applyAlignment="1">
      <alignment horizontal="centerContinuous" vertical="center" wrapText="1"/>
    </xf>
  </cellXfs>
  <cellStyles count="2">
    <cellStyle name="Normal" xfId="0" builtinId="0"/>
    <cellStyle name="Normal 2" xfId="1" xr:uid="{477BB8DC-4B7A-4545-B817-0A36931ECD5E}"/>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fabri\Dropbox\FlexUp\Legal\FlexAdjust%20contract\FlexAdjust%20simulation%202024-10-04.xlsx" TargetMode="External"/><Relationship Id="rId1" Type="http://schemas.openxmlformats.org/officeDocument/2006/relationships/externalLinkPath" Target="FlexAdjust%20simulation%202024-10-04.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fabri\Dropbox\FlexUp\Legal\FlexAdjust%20contract\FlexAdjust%20Conversion%202024-10-04.xlsx" TargetMode="External"/><Relationship Id="rId1" Type="http://schemas.openxmlformats.org/officeDocument/2006/relationships/externalLinkPath" Target="FlexAdjust%20Conversion%202024-10-04.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C:\Users\fabri\Dropbox\Cosys\1.%20Comptabilit&#233;\Ventes\2024-10-04%20FA%20Driveco%20September%202024%20-%205%20001.38%20&#8364;.pdf.xlsx" TargetMode="External"/><Relationship Id="rId1" Type="http://schemas.openxmlformats.org/officeDocument/2006/relationships/externalLinkPath" Target="/Users/fabri/Dropbox/Cosys/1.%20Comptabilit&#233;/Ventes/2024-10-04%20FA%20Driveco%20September%202024%20-%205%20001.38%20&#8364;.pdf.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imulator"/>
      <sheetName val="Lists"/>
    </sheetNames>
    <sheetDataSet>
      <sheetData sheetId="0"/>
      <sheetData sheetId="1">
        <row r="4">
          <cell r="D4">
            <v>1</v>
          </cell>
        </row>
        <row r="5">
          <cell r="F5" t="str">
            <v>FR</v>
          </cell>
          <cell r="G5">
            <v>2</v>
          </cell>
        </row>
        <row r="6">
          <cell r="F6" t="str">
            <v>EN</v>
          </cell>
        </row>
        <row r="10">
          <cell r="D10" t="str">
            <v>Fees</v>
          </cell>
        </row>
        <row r="11">
          <cell r="D11" t="str">
            <v>Gross salary</v>
          </cell>
        </row>
        <row r="12">
          <cell r="D12" t="str">
            <v>Net salary</v>
          </cell>
        </row>
        <row r="13">
          <cell r="D13" t="str">
            <v>Cash salary (after tax)</v>
          </cell>
        </row>
        <row r="21">
          <cell r="D21" t="str">
            <v>€ excl. VAT</v>
          </cell>
        </row>
        <row r="24">
          <cell r="D24" t="str">
            <v>€ excl. VAT</v>
          </cell>
        </row>
        <row r="25">
          <cell r="D25" t="str">
            <v>€ gross</v>
          </cell>
        </row>
        <row r="26">
          <cell r="D26" t="str">
            <v>€ net</v>
          </cell>
        </row>
        <row r="27">
          <cell r="D27" t="str">
            <v>€ cash</v>
          </cell>
        </row>
        <row r="32">
          <cell r="D32" t="str">
            <v>hr</v>
          </cell>
          <cell r="E32">
            <v>1</v>
          </cell>
          <cell r="F32">
            <v>1</v>
          </cell>
          <cell r="I32">
            <v>0.7</v>
          </cell>
          <cell r="J32">
            <v>1920</v>
          </cell>
        </row>
        <row r="33">
          <cell r="D33" t="str">
            <v>day</v>
          </cell>
          <cell r="E33">
            <v>8</v>
          </cell>
          <cell r="F33">
            <v>8</v>
          </cell>
        </row>
        <row r="34">
          <cell r="D34" t="str">
            <v>week</v>
          </cell>
          <cell r="E34">
            <v>5</v>
          </cell>
          <cell r="F34">
            <v>40</v>
          </cell>
        </row>
        <row r="35">
          <cell r="D35" t="str">
            <v>month</v>
          </cell>
          <cell r="E35">
            <v>4</v>
          </cell>
          <cell r="F35">
            <v>160</v>
          </cell>
        </row>
        <row r="36">
          <cell r="D36" t="str">
            <v>yr</v>
          </cell>
          <cell r="E36">
            <v>12</v>
          </cell>
          <cell r="F36">
            <v>1920</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imulator"/>
      <sheetName val="Lists"/>
    </sheetNames>
    <sheetDataSet>
      <sheetData sheetId="0" refreshError="1"/>
      <sheetData sheetId="1">
        <row r="4">
          <cell r="D4">
            <v>1</v>
          </cell>
        </row>
        <row r="10">
          <cell r="D10" t="str">
            <v>Fees</v>
          </cell>
        </row>
        <row r="11">
          <cell r="D11" t="str">
            <v>Gross salary</v>
          </cell>
        </row>
        <row r="12">
          <cell r="D12" t="str">
            <v>Net salary</v>
          </cell>
        </row>
        <row r="13">
          <cell r="D13" t="str">
            <v>Cash salary (after tax)</v>
          </cell>
        </row>
        <row r="21">
          <cell r="D21" t="str">
            <v>€ excl. VAT</v>
          </cell>
        </row>
        <row r="24">
          <cell r="D24" t="str">
            <v>€ excl. VAT</v>
          </cell>
        </row>
        <row r="25">
          <cell r="D25" t="str">
            <v>€ gross</v>
          </cell>
        </row>
        <row r="26">
          <cell r="D26" t="str">
            <v>€ net</v>
          </cell>
        </row>
        <row r="27">
          <cell r="D27" t="str">
            <v>€ cash</v>
          </cell>
        </row>
        <row r="32">
          <cell r="D32" t="str">
            <v>hr</v>
          </cell>
          <cell r="E32">
            <v>1</v>
          </cell>
          <cell r="F32">
            <v>1</v>
          </cell>
          <cell r="I32">
            <v>0.7</v>
          </cell>
          <cell r="J32">
            <v>1920</v>
          </cell>
        </row>
        <row r="33">
          <cell r="D33" t="str">
            <v>day</v>
          </cell>
          <cell r="E33">
            <v>8</v>
          </cell>
          <cell r="F33">
            <v>8</v>
          </cell>
        </row>
        <row r="34">
          <cell r="D34" t="str">
            <v>week</v>
          </cell>
          <cell r="E34">
            <v>5</v>
          </cell>
          <cell r="F34">
            <v>40</v>
          </cell>
        </row>
        <row r="35">
          <cell r="D35" t="str">
            <v>month</v>
          </cell>
          <cell r="E35">
            <v>4</v>
          </cell>
          <cell r="F35">
            <v>160</v>
          </cell>
        </row>
        <row r="36">
          <cell r="D36" t="str">
            <v>yr</v>
          </cell>
          <cell r="E36">
            <v>12</v>
          </cell>
          <cell r="F36">
            <v>1920</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voice"/>
      <sheetName val="Expenses"/>
      <sheetName val="Lists"/>
    </sheetNames>
    <sheetDataSet>
      <sheetData sheetId="0"/>
      <sheetData sheetId="1"/>
      <sheetData sheetId="2">
        <row r="2">
          <cell r="I2">
            <v>2</v>
          </cell>
        </row>
        <row r="4">
          <cell r="I4" t="str">
            <v>Invoice</v>
          </cell>
          <cell r="J4" t="str">
            <v>FA</v>
          </cell>
        </row>
        <row r="6">
          <cell r="I6" t="str">
            <v>Offer</v>
          </cell>
          <cell r="J6" t="str">
            <v>DE</v>
          </cell>
        </row>
        <row r="7">
          <cell r="I7" t="str">
            <v>Invoice</v>
          </cell>
          <cell r="J7" t="str">
            <v>FA</v>
          </cell>
        </row>
        <row r="8">
          <cell r="I8" t="str">
            <v>Balance statement</v>
          </cell>
          <cell r="J8" t="str">
            <v>RS</v>
          </cell>
        </row>
        <row r="9">
          <cell r="I9" t="str">
            <v>Proforma invoice</v>
          </cell>
          <cell r="J9" t="str">
            <v>PF</v>
          </cell>
        </row>
        <row r="15">
          <cell r="I15">
            <v>2</v>
          </cell>
        </row>
        <row r="17">
          <cell r="I17" t="str">
            <v>Français</v>
          </cell>
        </row>
        <row r="18">
          <cell r="I18" t="str">
            <v>Anglais</v>
          </cell>
        </row>
        <row r="27">
          <cell r="B27" t="str">
            <v>déjà expédié, livraison sous 2~3 jours</v>
          </cell>
        </row>
        <row r="28">
          <cell r="B28" t="str">
            <v>selon demande du client</v>
          </cell>
        </row>
        <row r="29">
          <cell r="B29" t="str">
            <v>par colissimo, expédition sous 2 jours ouvrés à compter de la commande</v>
          </cell>
        </row>
        <row r="30">
          <cell r="B30" t="str">
            <v>remis en main propres</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B290F5-ED84-41D7-954E-F5F50CDB2D86}">
  <sheetPr>
    <pageSetUpPr fitToPage="1"/>
  </sheetPr>
  <dimension ref="A1:J53"/>
  <sheetViews>
    <sheetView showGridLines="0" tabSelected="1" workbookViewId="0">
      <selection activeCell="D39" sqref="D39"/>
    </sheetView>
  </sheetViews>
  <sheetFormatPr defaultColWidth="12.5703125" defaultRowHeight="16.5" outlineLevelCol="1" x14ac:dyDescent="0.3"/>
  <cols>
    <col min="1" max="1" width="11.5703125" style="1" customWidth="1"/>
    <col min="2" max="3" width="16.7109375" style="1" customWidth="1"/>
    <col min="4" max="5" width="12.5703125" style="1"/>
    <col min="6" max="6" width="12.5703125" style="1" outlineLevel="1"/>
    <col min="7" max="7" width="12.5703125" style="1"/>
    <col min="8" max="9" width="14.85546875" style="1" customWidth="1" outlineLevel="1"/>
    <col min="10" max="10" width="14.85546875" style="1" customWidth="1"/>
    <col min="11" max="16384" width="12.5703125" style="1"/>
  </cols>
  <sheetData>
    <row r="1" spans="1:9" ht="21" x14ac:dyDescent="0.4">
      <c r="A1" s="28" t="s">
        <v>20</v>
      </c>
      <c r="B1" s="28"/>
    </row>
    <row r="3" spans="1:9" x14ac:dyDescent="0.3">
      <c r="A3" s="29" t="s">
        <v>25</v>
      </c>
      <c r="B3" s="30"/>
      <c r="C3" s="30"/>
      <c r="D3" s="30"/>
      <c r="E3" s="30"/>
      <c r="F3" s="30"/>
      <c r="G3" s="30"/>
      <c r="H3" s="30"/>
      <c r="I3" s="30"/>
    </row>
    <row r="4" spans="1:9" x14ac:dyDescent="0.3">
      <c r="A4" s="30"/>
      <c r="B4" s="30"/>
      <c r="C4" s="30"/>
      <c r="D4" s="30"/>
      <c r="E4" s="30"/>
      <c r="F4" s="30"/>
      <c r="G4" s="30"/>
      <c r="H4" s="30"/>
      <c r="I4" s="30"/>
    </row>
    <row r="5" spans="1:9" x14ac:dyDescent="0.3">
      <c r="A5" s="30"/>
      <c r="B5" s="30"/>
      <c r="C5" s="30"/>
      <c r="D5" s="30"/>
      <c r="E5" s="30"/>
      <c r="F5" s="30"/>
      <c r="G5" s="30"/>
      <c r="H5" s="30"/>
      <c r="I5" s="30"/>
    </row>
    <row r="7" spans="1:9" x14ac:dyDescent="0.3">
      <c r="A7" s="27" t="s">
        <v>19</v>
      </c>
    </row>
    <row r="9" spans="1:9" x14ac:dyDescent="0.3">
      <c r="A9" s="21" t="s">
        <v>18</v>
      </c>
      <c r="B9" s="20"/>
    </row>
    <row r="11" spans="1:9" x14ac:dyDescent="0.3">
      <c r="A11" s="23" t="s">
        <v>17</v>
      </c>
      <c r="B11" s="23"/>
      <c r="D11" s="16" t="s">
        <v>21</v>
      </c>
      <c r="E11" s="16"/>
      <c r="F11" s="26"/>
    </row>
    <row r="12" spans="1:9" x14ac:dyDescent="0.3">
      <c r="A12" s="23" t="s">
        <v>16</v>
      </c>
      <c r="B12" s="23"/>
      <c r="D12" s="16" t="s">
        <v>22</v>
      </c>
      <c r="E12" s="16"/>
      <c r="F12" s="26"/>
    </row>
    <row r="13" spans="1:9" x14ac:dyDescent="0.3">
      <c r="A13" s="23" t="s">
        <v>23</v>
      </c>
      <c r="B13" s="23"/>
      <c r="D13" s="32">
        <v>45597</v>
      </c>
      <c r="E13" s="33"/>
      <c r="F13" s="26"/>
    </row>
    <row r="14" spans="1:9" x14ac:dyDescent="0.3">
      <c r="A14" s="23" t="s">
        <v>24</v>
      </c>
      <c r="B14" s="23"/>
      <c r="D14" s="32">
        <v>45597</v>
      </c>
      <c r="E14" s="33"/>
      <c r="F14" s="26"/>
    </row>
    <row r="16" spans="1:9" x14ac:dyDescent="0.3">
      <c r="A16" s="21" t="s">
        <v>15</v>
      </c>
      <c r="B16" s="20"/>
    </row>
    <row r="18" spans="1:5" x14ac:dyDescent="0.3">
      <c r="A18" s="23" t="s">
        <v>14</v>
      </c>
      <c r="B18" s="23"/>
      <c r="D18" s="16" t="s">
        <v>13</v>
      </c>
      <c r="E18" s="26" t="s">
        <v>12</v>
      </c>
    </row>
    <row r="19" spans="1:5" x14ac:dyDescent="0.3">
      <c r="A19" s="23" t="s">
        <v>11</v>
      </c>
      <c r="B19" s="23"/>
      <c r="D19" s="16" t="s">
        <v>10</v>
      </c>
      <c r="E19" s="26" t="s">
        <v>9</v>
      </c>
    </row>
    <row r="20" spans="1:5" x14ac:dyDescent="0.3">
      <c r="A20" s="23"/>
      <c r="B20" s="23"/>
    </row>
    <row r="21" spans="1:5" ht="18" x14ac:dyDescent="0.35">
      <c r="A21" s="23" t="s">
        <v>29</v>
      </c>
      <c r="B21" s="23"/>
      <c r="C21" s="1" t="str">
        <f>currency&amp;"/"&amp;unit</f>
        <v>€/hr</v>
      </c>
      <c r="D21" s="24">
        <v>100</v>
      </c>
    </row>
    <row r="22" spans="1:5" ht="18" x14ac:dyDescent="0.35">
      <c r="A22" s="23" t="s">
        <v>30</v>
      </c>
      <c r="B22" s="23"/>
      <c r="C22" s="1" t="str">
        <f>currency</f>
        <v>€</v>
      </c>
      <c r="D22" s="24">
        <v>10</v>
      </c>
      <c r="E22" s="25" t="str">
        <f>"~"&amp;TEXT(D22/160,0)&amp;" months on a full time basis"</f>
        <v>~0 months on a full time basis</v>
      </c>
    </row>
    <row r="23" spans="1:5" x14ac:dyDescent="0.3">
      <c r="A23" s="23" t="s">
        <v>27</v>
      </c>
      <c r="B23" s="23"/>
      <c r="C23" s="1" t="s">
        <v>8</v>
      </c>
      <c r="D23" s="31">
        <v>0.7</v>
      </c>
      <c r="E23" s="25" t="s">
        <v>26</v>
      </c>
    </row>
    <row r="24" spans="1:5" x14ac:dyDescent="0.3">
      <c r="A24" s="23"/>
      <c r="B24" s="23"/>
      <c r="D24" s="10"/>
    </row>
    <row r="25" spans="1:5" ht="18" x14ac:dyDescent="0.35">
      <c r="A25" s="23" t="s">
        <v>28</v>
      </c>
      <c r="B25" s="23"/>
      <c r="C25" s="1" t="str">
        <f>currency&amp;"/"&amp;unit</f>
        <v>€/hr</v>
      </c>
      <c r="D25" s="24">
        <v>50</v>
      </c>
    </row>
    <row r="26" spans="1:5" ht="18" x14ac:dyDescent="0.35">
      <c r="A26" s="23" t="s">
        <v>31</v>
      </c>
      <c r="B26" s="23"/>
      <c r="C26" s="1" t="str">
        <f>currency&amp;"/"&amp;unit</f>
        <v>€/hr</v>
      </c>
      <c r="D26" s="24">
        <v>200</v>
      </c>
    </row>
    <row r="27" spans="1:5" x14ac:dyDescent="0.3">
      <c r="A27" s="23"/>
      <c r="B27" s="23"/>
      <c r="D27" s="10"/>
    </row>
    <row r="28" spans="1:5" ht="18" x14ac:dyDescent="0.35">
      <c r="A28" s="23" t="s">
        <v>33</v>
      </c>
      <c r="B28" s="23"/>
      <c r="C28" s="1" t="str">
        <f>unit</f>
        <v>hr</v>
      </c>
      <c r="D28" s="24">
        <v>100</v>
      </c>
    </row>
    <row r="29" spans="1:5" ht="18" x14ac:dyDescent="0.35">
      <c r="A29" s="23" t="s">
        <v>32</v>
      </c>
      <c r="C29" s="1" t="str">
        <f>C25</f>
        <v>€/hr</v>
      </c>
      <c r="D29" s="22">
        <f>MAX(MIN($D$23^LOG($D$28/$D$22)*$D$21,D26),D25)</f>
        <v>70</v>
      </c>
    </row>
    <row r="30" spans="1:5" x14ac:dyDescent="0.3">
      <c r="D30" s="10"/>
    </row>
    <row r="31" spans="1:5" x14ac:dyDescent="0.3">
      <c r="A31" s="21" t="s">
        <v>7</v>
      </c>
      <c r="B31" s="20"/>
    </row>
    <row r="32" spans="1:5" x14ac:dyDescent="0.3">
      <c r="D32" s="10"/>
    </row>
    <row r="33" spans="1:10" ht="56.25" customHeight="1" x14ac:dyDescent="0.3">
      <c r="A33" s="18" t="s">
        <v>6</v>
      </c>
      <c r="B33" s="18" t="s">
        <v>5</v>
      </c>
      <c r="C33" s="18" t="s">
        <v>4</v>
      </c>
      <c r="D33" s="18" t="str">
        <f>"Order Quantity, "&amp;unit</f>
        <v>Order Quantity, hr</v>
      </c>
      <c r="E33" s="18" t="str">
        <f>"Cumulated Quantity, "&amp;unit</f>
        <v>Cumulated Quantity, hr</v>
      </c>
      <c r="F33" s="19" t="str">
        <f>"Base price, "&amp;$C$21&amp;" excl. tax"</f>
        <v>Base price, €/hr excl. tax</v>
      </c>
      <c r="G33" s="19" t="str">
        <f>"Actual price, "&amp;$C$21&amp;" excl. tax"</f>
        <v>Actual price, €/hr excl. tax</v>
      </c>
      <c r="H33" s="19" t="str">
        <f>"Actual vs base price, "&amp;$C$21&amp;" excl. tax"</f>
        <v>Actual vs base price, €/hr excl. tax</v>
      </c>
      <c r="I33" s="19" t="str">
        <f>"Actual vs target price "&amp;$C$21&amp;" excl. tax"</f>
        <v>Actual vs target price €/hr excl. tax</v>
      </c>
      <c r="J33" s="18" t="str">
        <f>"Order Amount, "&amp;currency&amp;" excl. tax"</f>
        <v>Order Amount, € excl. tax</v>
      </c>
    </row>
    <row r="34" spans="1:10" x14ac:dyDescent="0.3">
      <c r="D34" s="10"/>
      <c r="E34" s="10"/>
    </row>
    <row r="35" spans="1:10" x14ac:dyDescent="0.3">
      <c r="A35" s="13">
        <v>1</v>
      </c>
      <c r="B35" s="17">
        <f>$D$14</f>
        <v>45597</v>
      </c>
      <c r="C35" s="12">
        <f t="shared" ref="C35:C40" si="0">IF(D35=0,0,EDATE(B35,1)-1)</f>
        <v>45626</v>
      </c>
      <c r="D35" s="15">
        <v>10</v>
      </c>
      <c r="E35" s="9">
        <f t="shared" ref="E35:E46" si="1">IF(C35=0,0,D35+E34)</f>
        <v>10</v>
      </c>
      <c r="F35" s="7">
        <f>IF(E35=0,0,MAX(MIN($D$23^LOG(E35/$D$22)*$D$21,$D$26),$D$25))</f>
        <v>100</v>
      </c>
      <c r="G35" s="7">
        <f>MIN($D$29,F35)</f>
        <v>70</v>
      </c>
      <c r="H35" s="7">
        <f t="shared" ref="H35:H46" si="2">G35-F35</f>
        <v>-30</v>
      </c>
      <c r="I35" s="7">
        <f>IF(G35=0,0,G35-$D$29)</f>
        <v>0</v>
      </c>
      <c r="J35" s="7">
        <f t="shared" ref="J35:J46" si="3">G35*D35</f>
        <v>700</v>
      </c>
    </row>
    <row r="36" spans="1:10" x14ac:dyDescent="0.3">
      <c r="A36" s="13">
        <v>2</v>
      </c>
      <c r="B36" s="12">
        <f t="shared" ref="B36:B46" si="4">IF(C35=0,0,C35+1)</f>
        <v>45627</v>
      </c>
      <c r="C36" s="12">
        <f t="shared" si="0"/>
        <v>45657</v>
      </c>
      <c r="D36" s="15">
        <v>10</v>
      </c>
      <c r="E36" s="9">
        <f t="shared" si="1"/>
        <v>20</v>
      </c>
      <c r="F36" s="7">
        <f>IF(E36=0,0,MAX(MIN($D$23^LOG(E36/$D$22)*$D$21,$D$26),$D$25))</f>
        <v>89.819340858453828</v>
      </c>
      <c r="G36" s="7">
        <f>MIN($D$29,F36)</f>
        <v>70</v>
      </c>
      <c r="H36" s="7">
        <f t="shared" si="2"/>
        <v>-19.819340858453828</v>
      </c>
      <c r="I36" s="7">
        <f>IF(G36=0,0,G36-$D$29)</f>
        <v>0</v>
      </c>
      <c r="J36" s="7">
        <f t="shared" si="3"/>
        <v>700</v>
      </c>
    </row>
    <row r="37" spans="1:10" x14ac:dyDescent="0.3">
      <c r="A37" s="13">
        <v>3</v>
      </c>
      <c r="B37" s="12">
        <f t="shared" si="4"/>
        <v>45658</v>
      </c>
      <c r="C37" s="12">
        <f t="shared" si="0"/>
        <v>45688</v>
      </c>
      <c r="D37" s="15">
        <v>30</v>
      </c>
      <c r="E37" s="9">
        <f t="shared" si="1"/>
        <v>50</v>
      </c>
      <c r="F37" s="7">
        <f>IF(E37=0,0,MAX(MIN($D$23^LOG(E37/$D$22)*$D$21,$D$26),$D$25))</f>
        <v>77.934216985975098</v>
      </c>
      <c r="G37" s="7">
        <f>MIN($D$29,F37)</f>
        <v>70</v>
      </c>
      <c r="H37" s="7">
        <f t="shared" si="2"/>
        <v>-7.9342169859750982</v>
      </c>
      <c r="I37" s="7">
        <f>IF(G37=0,0,G37-$D$29)</f>
        <v>0</v>
      </c>
      <c r="J37" s="7">
        <f t="shared" si="3"/>
        <v>2100</v>
      </c>
    </row>
    <row r="38" spans="1:10" x14ac:dyDescent="0.3">
      <c r="A38" s="13">
        <v>4</v>
      </c>
      <c r="B38" s="12">
        <f t="shared" si="4"/>
        <v>45689</v>
      </c>
      <c r="C38" s="12">
        <f t="shared" si="0"/>
        <v>45716</v>
      </c>
      <c r="D38" s="15">
        <v>10</v>
      </c>
      <c r="E38" s="9">
        <f t="shared" si="1"/>
        <v>60</v>
      </c>
      <c r="F38" s="7">
        <f>IF(E38=0,0,MAX(MIN($D$23^LOG(E38/$D$22)*$D$21,$D$26),$D$25))</f>
        <v>75.763991407389739</v>
      </c>
      <c r="G38" s="7">
        <f>MIN($D$29,F38)</f>
        <v>70</v>
      </c>
      <c r="H38" s="7">
        <f t="shared" si="2"/>
        <v>-5.7639914073897387</v>
      </c>
      <c r="I38" s="7">
        <f>IF(G38=0,0,G38-$D$29)</f>
        <v>0</v>
      </c>
      <c r="J38" s="7">
        <f t="shared" si="3"/>
        <v>700</v>
      </c>
    </row>
    <row r="39" spans="1:10" x14ac:dyDescent="0.3">
      <c r="A39" s="13">
        <v>5</v>
      </c>
      <c r="B39" s="12">
        <f t="shared" si="4"/>
        <v>45717</v>
      </c>
      <c r="C39" s="12">
        <f t="shared" si="0"/>
        <v>0</v>
      </c>
      <c r="D39" s="15"/>
      <c r="E39" s="9">
        <f t="shared" si="1"/>
        <v>0</v>
      </c>
      <c r="F39" s="7">
        <f>IF(E39=0,0,MAX(MIN($D$23^LOG(E39/$D$22)*$D$21,$D$26),$D$25))</f>
        <v>0</v>
      </c>
      <c r="G39" s="7">
        <f>MIN($D$29,F39)</f>
        <v>0</v>
      </c>
      <c r="H39" s="7">
        <f t="shared" si="2"/>
        <v>0</v>
      </c>
      <c r="I39" s="7">
        <f>IF(G39=0,0,G39-$D$29)</f>
        <v>0</v>
      </c>
      <c r="J39" s="7">
        <f t="shared" si="3"/>
        <v>0</v>
      </c>
    </row>
    <row r="40" spans="1:10" x14ac:dyDescent="0.3">
      <c r="A40" s="13">
        <v>6</v>
      </c>
      <c r="B40" s="12">
        <f t="shared" si="4"/>
        <v>0</v>
      </c>
      <c r="C40" s="12">
        <f t="shared" si="0"/>
        <v>0</v>
      </c>
      <c r="D40" s="15"/>
      <c r="E40" s="9">
        <f t="shared" si="1"/>
        <v>0</v>
      </c>
      <c r="F40" s="7">
        <f>IF(E40=0,0,MAX(MIN($D$23^LOG(E40/$D$22)*$D$21,$D$26),$D$25))</f>
        <v>0</v>
      </c>
      <c r="G40" s="7">
        <f>MIN($D$29,F40)</f>
        <v>0</v>
      </c>
      <c r="H40" s="7">
        <f t="shared" si="2"/>
        <v>0</v>
      </c>
      <c r="I40" s="7">
        <f>IF(G40=0,0,G40-$D$29)</f>
        <v>0</v>
      </c>
      <c r="J40" s="7">
        <f t="shared" si="3"/>
        <v>0</v>
      </c>
    </row>
    <row r="41" spans="1:10" x14ac:dyDescent="0.3">
      <c r="A41" s="13">
        <v>7</v>
      </c>
      <c r="B41" s="12">
        <f t="shared" si="4"/>
        <v>0</v>
      </c>
      <c r="C41" s="12">
        <f t="shared" ref="C41:C43" si="5">IF(D41=0,0,EDATE(B41,1)-1)</f>
        <v>0</v>
      </c>
      <c r="D41" s="11"/>
      <c r="E41" s="9">
        <f t="shared" si="1"/>
        <v>0</v>
      </c>
      <c r="F41" s="7">
        <f>IF(E41=0,0,MAX(MIN($D$23^LOG(E41/$D$22)*$D$21,$D$26),$D$25))</f>
        <v>0</v>
      </c>
      <c r="G41" s="7">
        <f>MIN($D$29,F41)</f>
        <v>0</v>
      </c>
      <c r="H41" s="7">
        <f t="shared" si="2"/>
        <v>0</v>
      </c>
      <c r="I41" s="7">
        <f>IF(G41=0,0,G41-$D$29)</f>
        <v>0</v>
      </c>
      <c r="J41" s="7">
        <f t="shared" si="3"/>
        <v>0</v>
      </c>
    </row>
    <row r="42" spans="1:10" x14ac:dyDescent="0.3">
      <c r="A42" s="13">
        <v>8</v>
      </c>
      <c r="B42" s="12">
        <f t="shared" si="4"/>
        <v>0</v>
      </c>
      <c r="C42" s="12">
        <f t="shared" si="5"/>
        <v>0</v>
      </c>
      <c r="D42" s="11"/>
      <c r="E42" s="9">
        <f t="shared" si="1"/>
        <v>0</v>
      </c>
      <c r="F42" s="7">
        <f>IF(E42=0,0,MAX(MIN($D$23^LOG(E42/$D$22)*$D$21,$D$26),$D$25))</f>
        <v>0</v>
      </c>
      <c r="G42" s="7">
        <f>MIN($D$29,F42)</f>
        <v>0</v>
      </c>
      <c r="H42" s="7">
        <f t="shared" si="2"/>
        <v>0</v>
      </c>
      <c r="I42" s="7">
        <f>IF(G42=0,0,G42-$D$29)</f>
        <v>0</v>
      </c>
      <c r="J42" s="7">
        <f t="shared" si="3"/>
        <v>0</v>
      </c>
    </row>
    <row r="43" spans="1:10" x14ac:dyDescent="0.3">
      <c r="A43" s="13">
        <v>9</v>
      </c>
      <c r="B43" s="12">
        <f t="shared" si="4"/>
        <v>0</v>
      </c>
      <c r="C43" s="12">
        <f t="shared" si="5"/>
        <v>0</v>
      </c>
      <c r="D43" s="11"/>
      <c r="E43" s="9">
        <f t="shared" si="1"/>
        <v>0</v>
      </c>
      <c r="F43" s="7">
        <f>IF(E43=0,0,MAX(MIN($D$23^LOG(E43/$D$22)*$D$21,$D$26),$D$25))</f>
        <v>0</v>
      </c>
      <c r="G43" s="7">
        <f>MIN($D$29,F43)</f>
        <v>0</v>
      </c>
      <c r="H43" s="7">
        <f t="shared" si="2"/>
        <v>0</v>
      </c>
      <c r="I43" s="7">
        <f>IF(G43=0,0,G43-$D$29)</f>
        <v>0</v>
      </c>
      <c r="J43" s="7">
        <f t="shared" si="3"/>
        <v>0</v>
      </c>
    </row>
    <row r="44" spans="1:10" x14ac:dyDescent="0.3">
      <c r="A44" s="13">
        <v>10</v>
      </c>
      <c r="B44" s="12">
        <f t="shared" si="4"/>
        <v>0</v>
      </c>
      <c r="C44" s="12">
        <f>IF(D44=0,0,EDATE(B44,1)-1)</f>
        <v>0</v>
      </c>
      <c r="D44" s="11"/>
      <c r="E44" s="9">
        <f t="shared" si="1"/>
        <v>0</v>
      </c>
      <c r="F44" s="14">
        <f>IF(E44=0,0,MAX(MIN($D$23^LOG(E44/$D$22)*$D$21,$D$26),$D$25))</f>
        <v>0</v>
      </c>
      <c r="G44" s="7">
        <f>MIN($D$29,F44)</f>
        <v>0</v>
      </c>
      <c r="H44" s="7">
        <f t="shared" si="2"/>
        <v>0</v>
      </c>
      <c r="I44" s="7">
        <f>IF(G44=0,0,G44-$D$29)</f>
        <v>0</v>
      </c>
      <c r="J44" s="7">
        <f t="shared" si="3"/>
        <v>0</v>
      </c>
    </row>
    <row r="45" spans="1:10" x14ac:dyDescent="0.3">
      <c r="A45" s="13">
        <v>11</v>
      </c>
      <c r="B45" s="12">
        <f t="shared" si="4"/>
        <v>0</v>
      </c>
      <c r="C45" s="12">
        <f>IF(D45=0,0,EDATE(B45,1)-1)</f>
        <v>0</v>
      </c>
      <c r="D45" s="11"/>
      <c r="E45" s="9">
        <f t="shared" si="1"/>
        <v>0</v>
      </c>
      <c r="F45" s="7">
        <f>IF(E45=0,0,MAX(MIN($D$23^LOG(E45/$D$22)*$D$21,$D$26),$D$25))</f>
        <v>0</v>
      </c>
      <c r="G45" s="7">
        <f>MIN($D$29,F45)</f>
        <v>0</v>
      </c>
      <c r="H45" s="7">
        <f t="shared" si="2"/>
        <v>0</v>
      </c>
      <c r="I45" s="7">
        <f>IF(G45=0,0,G45-$D$29)</f>
        <v>0</v>
      </c>
      <c r="J45" s="7">
        <f t="shared" si="3"/>
        <v>0</v>
      </c>
    </row>
    <row r="46" spans="1:10" x14ac:dyDescent="0.3">
      <c r="A46" s="13">
        <v>12</v>
      </c>
      <c r="B46" s="12">
        <f t="shared" si="4"/>
        <v>0</v>
      </c>
      <c r="C46" s="12">
        <f>IF(D46=0,0,EDATE(B46,1)-1)</f>
        <v>0</v>
      </c>
      <c r="D46" s="11"/>
      <c r="E46" s="9">
        <f t="shared" si="1"/>
        <v>0</v>
      </c>
      <c r="F46" s="7">
        <f>IF(E46=0,0,MAX(MIN($D$23^LOG(E46/$D$22)*$D$21,$D$26),$D$25))</f>
        <v>0</v>
      </c>
      <c r="G46" s="7">
        <f>MIN($D$29,F46)</f>
        <v>0</v>
      </c>
      <c r="H46" s="7">
        <f t="shared" si="2"/>
        <v>0</v>
      </c>
      <c r="I46" s="7">
        <f>IF(G46=0,0,G46-$D$29)</f>
        <v>0</v>
      </c>
      <c r="J46" s="7">
        <f t="shared" si="3"/>
        <v>0</v>
      </c>
    </row>
    <row r="47" spans="1:10" x14ac:dyDescent="0.3">
      <c r="D47" s="10"/>
      <c r="E47" s="10"/>
    </row>
    <row r="48" spans="1:10" x14ac:dyDescent="0.3">
      <c r="A48" s="6" t="s">
        <v>3</v>
      </c>
      <c r="B48" s="5"/>
      <c r="C48" s="5"/>
      <c r="D48" s="4">
        <f>SUM(D35:D46)</f>
        <v>60</v>
      </c>
      <c r="E48" s="4"/>
      <c r="F48" s="2">
        <f>SUMPRODUCT(D35:D46,F35:F46)/D48</f>
        <v>83.230997203961493</v>
      </c>
      <c r="G48" s="2">
        <f>IFERROR(J48/D48,0)</f>
        <v>70</v>
      </c>
      <c r="H48" s="2">
        <f>G48-F48</f>
        <v>-13.230997203961493</v>
      </c>
      <c r="I48" s="2">
        <f>D29-G48</f>
        <v>0</v>
      </c>
      <c r="J48" s="2">
        <f>SUM(J35:J46)</f>
        <v>4200</v>
      </c>
    </row>
    <row r="49" spans="1:10" x14ac:dyDescent="0.3">
      <c r="G49" s="7"/>
      <c r="H49" s="7"/>
      <c r="I49" s="7"/>
    </row>
    <row r="50" spans="1:10" x14ac:dyDescent="0.3">
      <c r="A50" s="1" t="s">
        <v>2</v>
      </c>
      <c r="D50" s="9">
        <f>D48</f>
        <v>60</v>
      </c>
      <c r="E50" s="9">
        <f>D50</f>
        <v>60</v>
      </c>
      <c r="F50" s="7">
        <f>IF(E50=0,0,MAX(MIN($D$23^LOG(E50/$D$22)*$D$21,$D$26),$D$25))</f>
        <v>75.763991407389739</v>
      </c>
      <c r="G50" s="7">
        <f>G48</f>
        <v>70</v>
      </c>
      <c r="I50" s="8">
        <f>IF(F50=0,0,F50-$D$29)</f>
        <v>5.7639914073897387</v>
      </c>
    </row>
    <row r="51" spans="1:10" x14ac:dyDescent="0.3">
      <c r="A51" s="1" t="s">
        <v>1</v>
      </c>
      <c r="D51" s="9">
        <f>D50</f>
        <v>60</v>
      </c>
      <c r="E51" s="9"/>
      <c r="F51" s="8"/>
      <c r="G51" s="8">
        <f>I51</f>
        <v>11.527982814779477</v>
      </c>
      <c r="I51" s="8">
        <f>I50*2</f>
        <v>11.527982814779477</v>
      </c>
      <c r="J51" s="7">
        <f>G51*D51</f>
        <v>691.67896888676864</v>
      </c>
    </row>
    <row r="53" spans="1:10" x14ac:dyDescent="0.3">
      <c r="A53" s="6" t="s">
        <v>0</v>
      </c>
      <c r="B53" s="5"/>
      <c r="C53" s="5"/>
      <c r="D53" s="4">
        <f>D48</f>
        <v>60</v>
      </c>
      <c r="E53" s="4">
        <f>D53</f>
        <v>60</v>
      </c>
      <c r="F53" s="2">
        <f>IF(E53=0,0,MAX(MIN($D$23^LOG(E53/$D$22)*$D$21,$D$26),$D$25))</f>
        <v>75.763991407389739</v>
      </c>
      <c r="G53" s="2">
        <f>IFERROR(J53/D53,0)</f>
        <v>81.527982814779477</v>
      </c>
      <c r="H53" s="3">
        <f>G53-F53</f>
        <v>5.7639914073897387</v>
      </c>
      <c r="I53" s="3">
        <f>IF(G53=0,0,G53-$D$29)</f>
        <v>11.527982814779477</v>
      </c>
      <c r="J53" s="2">
        <f>SUM(J48:J52)</f>
        <v>4891.6789688867684</v>
      </c>
    </row>
  </sheetData>
  <mergeCells count="1">
    <mergeCell ref="A3:I5"/>
  </mergeCells>
  <pageMargins left="0.4" right="0.4" top="0.4" bottom="0.6" header="0.2" footer="0.2"/>
  <pageSetup paperSize="9" scale="68" orientation="portrait" horizontalDpi="0" verticalDpi="0" r:id="rId1"/>
  <headerFooter>
    <oddHeader xml:space="preserve">&amp;L &amp;R </oddHeader>
    <oddFooter>&amp;L&amp;F&amp;CPrinted &amp;D, &amp;T&amp;R&amp;A</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Historical</vt:lpstr>
      <vt:lpstr>Historical!currency</vt:lpstr>
      <vt:lpstr>Historical!unit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Fabrizio Nastri</dc:creator>
  <cp:lastModifiedBy>Fabrizio Nastri</cp:lastModifiedBy>
  <dcterms:created xsi:type="dcterms:W3CDTF">2024-10-04T16:21:26Z</dcterms:created>
  <dcterms:modified xsi:type="dcterms:W3CDTF">2025-09-11T17:57:28Z</dcterms:modified>
</cp:coreProperties>
</file>